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/>
  <mc:AlternateContent xmlns:mc="http://schemas.openxmlformats.org/markup-compatibility/2006">
    <mc:Choice Requires="x15">
      <x15ac:absPath xmlns:x15ac="http://schemas.microsoft.com/office/spreadsheetml/2010/11/ac" url="/Volumes/Data/merlijnv/Documents/Spreadsheets/"/>
    </mc:Choice>
  </mc:AlternateContent>
  <xr:revisionPtr revIDLastSave="0" documentId="13_ncr:1_{14403560-DB72-714D-A666-185D7CDF085E}" xr6:coauthVersionLast="34" xr6:coauthVersionMax="34" xr10:uidLastSave="{00000000-0000-0000-0000-000000000000}"/>
  <workbookProtection workbookAlgorithmName="SHA-512" workbookHashValue="aNeC4PHWVPsuvAi7VrvkP10dULeahoA4pxcqZ8zZOJwDleuOlE59FyjQiThlMZ2aiJzBwKZmTtZQfAbMDS6pLw==" workbookSaltValue="sL9p1GV+5LnLfFO+zNiBZQ==" workbookSpinCount="100000" lockStructure="1"/>
  <bookViews>
    <workbookView xWindow="-51200" yWindow="460" windowWidth="51200" windowHeight="28340" tabRatio="500" xr2:uid="{00000000-000D-0000-FFFF-FFFF00000000}"/>
  </bookViews>
  <sheets>
    <sheet name="Dashboard" sheetId="2" r:id="rId1"/>
    <sheet name="Calc" sheetId="1" state="hidden" r:id="rId2"/>
  </sheets>
  <calcPr calcId="179017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9" i="2" l="1"/>
  <c r="D21" i="2"/>
  <c r="D23" i="2"/>
  <c r="D26" i="2"/>
  <c r="E33" i="1"/>
  <c r="D27" i="2"/>
  <c r="F33" i="1"/>
  <c r="D33" i="2"/>
  <c r="B42" i="1"/>
  <c r="D6" i="2"/>
  <c r="B44" i="1"/>
  <c r="D29" i="2"/>
  <c r="C6" i="1"/>
  <c r="C7" i="1"/>
  <c r="C8" i="1"/>
  <c r="C9" i="1"/>
  <c r="C10" i="1"/>
  <c r="C11" i="1"/>
  <c r="C12" i="1"/>
  <c r="C13" i="1"/>
  <c r="E35" i="1"/>
  <c r="F35" i="1"/>
  <c r="E36" i="1"/>
  <c r="F36" i="1"/>
  <c r="D31" i="2"/>
  <c r="B40" i="1"/>
  <c r="B36" i="1"/>
  <c r="B38" i="1"/>
  <c r="L5" i="1"/>
  <c r="M5" i="1"/>
  <c r="N5" i="1"/>
  <c r="L6" i="1"/>
  <c r="M6" i="1"/>
  <c r="N6" i="1"/>
  <c r="M7" i="1"/>
  <c r="N7" i="1"/>
  <c r="M8" i="1"/>
  <c r="N8" i="1"/>
  <c r="M9" i="1"/>
  <c r="N9" i="1"/>
  <c r="M10" i="1"/>
  <c r="N10" i="1"/>
  <c r="M11" i="1"/>
  <c r="N11" i="1"/>
  <c r="M12" i="1"/>
  <c r="N12" i="1"/>
  <c r="M13" i="1"/>
  <c r="N13" i="1"/>
  <c r="M14" i="1"/>
  <c r="N14" i="1"/>
  <c r="M15" i="1"/>
  <c r="N15" i="1"/>
  <c r="L4" i="1"/>
  <c r="M4" i="1"/>
  <c r="N4" i="1"/>
  <c r="E25" i="2"/>
  <c r="E27" i="2"/>
</calcChain>
</file>

<file path=xl/sharedStrings.xml><?xml version="1.0" encoding="utf-8"?>
<sst xmlns="http://schemas.openxmlformats.org/spreadsheetml/2006/main" count="28" uniqueCount="27">
  <si>
    <t>d/R</t>
  </si>
  <si>
    <t>D/R</t>
  </si>
  <si>
    <t>r/R</t>
  </si>
  <si>
    <t>DIMENSIONS</t>
  </si>
  <si>
    <t>baffle radius (mm)</t>
  </si>
  <si>
    <t>RATIOS</t>
  </si>
  <si>
    <t>r driver /  r baffle</t>
  </si>
  <si>
    <t>height (mm)</t>
  </si>
  <si>
    <t>depth (mm)</t>
  </si>
  <si>
    <t>driver diameter (in)</t>
  </si>
  <si>
    <t>depth / r baffle</t>
  </si>
  <si>
    <t>ENVIRONMENT</t>
  </si>
  <si>
    <t>position (mm)</t>
  </si>
  <si>
    <t>multiplier</t>
  </si>
  <si>
    <t>c (m/s)</t>
  </si>
  <si>
    <t>temp (°C)</t>
  </si>
  <si>
    <t>baffle area (mm²)</t>
  </si>
  <si>
    <t>All Rights Reserved.</t>
  </si>
  <si>
    <t>width (mm)</t>
  </si>
  <si>
    <t>ACOUSTIC CENTER FOR</t>
  </si>
  <si>
    <t>Copyright © 2018 Merlijn van Veen.</t>
  </si>
  <si>
    <t>No. drivers</t>
  </si>
  <si>
    <t>DISCLAIMER</t>
  </si>
  <si>
    <t>Sealed and vented enclosures only</t>
  </si>
  <si>
    <t>Inspired by:</t>
  </si>
  <si>
    <t>Prof. John Vanderkooy</t>
  </si>
  <si>
    <t>equiv. driver radius (mm)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</si>
</sst>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00"/>
    <numFmt numFmtId="165" formatCode="0\ &quot;°C&quot;"/>
    <numFmt numFmtId="166" formatCode="0\ &quot;m/s&quot;"/>
    <numFmt numFmtId="167" formatCode="0\ &quot;mm&quot;"/>
    <numFmt numFmtId="168" formatCode="0\ &quot;mm²&quot;"/>
    <numFmt numFmtId="169" formatCode="0\ &quot;in&quot;"/>
    <numFmt numFmtId="170" formatCode="0\ &quot;m&quot;"/>
  </numFmts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164" fontId="0" fillId="0" borderId="0" xfId="0" applyNumberFormat="1"/>
    <xf numFmtId="2" fontId="0" fillId="0" borderId="0" xfId="0" applyNumberFormat="1"/>
    <xf numFmtId="0" fontId="2" fillId="0" borderId="0" xfId="0" applyFont="1"/>
    <xf numFmtId="0" fontId="1" fillId="3" borderId="1" xfId="0" applyFont="1" applyFill="1" applyBorder="1"/>
    <xf numFmtId="0" fontId="0" fillId="3" borderId="1" xfId="0" applyFont="1" applyFill="1" applyBorder="1"/>
    <xf numFmtId="0" fontId="0" fillId="3" borderId="0" xfId="0" applyFill="1"/>
    <xf numFmtId="0" fontId="0" fillId="3" borderId="1" xfId="0" applyFill="1" applyBorder="1"/>
    <xf numFmtId="0" fontId="1" fillId="3" borderId="0" xfId="0" applyFont="1" applyFill="1"/>
    <xf numFmtId="0" fontId="0" fillId="3" borderId="1" xfId="0" applyFont="1" applyFill="1" applyBorder="1" applyAlignment="1"/>
    <xf numFmtId="0" fontId="0" fillId="3" borderId="0" xfId="0" applyFill="1" applyAlignment="1"/>
    <xf numFmtId="0" fontId="0" fillId="3" borderId="1" xfId="0" applyFill="1" applyBorder="1" applyAlignment="1"/>
    <xf numFmtId="1" fontId="0" fillId="3" borderId="0" xfId="0" applyNumberFormat="1" applyFill="1" applyAlignment="1"/>
    <xf numFmtId="2" fontId="0" fillId="3" borderId="0" xfId="0" applyNumberFormat="1" applyFill="1" applyAlignment="1"/>
    <xf numFmtId="0" fontId="0" fillId="0" borderId="0" xfId="0" applyAlignment="1"/>
    <xf numFmtId="166" fontId="0" fillId="3" borderId="0" xfId="0" applyNumberFormat="1" applyFill="1" applyAlignment="1"/>
    <xf numFmtId="167" fontId="0" fillId="3" borderId="0" xfId="0" applyNumberFormat="1" applyFill="1" applyAlignment="1"/>
    <xf numFmtId="168" fontId="0" fillId="3" borderId="0" xfId="0" applyNumberFormat="1" applyFill="1" applyAlignment="1"/>
    <xf numFmtId="170" fontId="0" fillId="0" borderId="0" xfId="0" applyNumberFormat="1"/>
    <xf numFmtId="0" fontId="5" fillId="3" borderId="0" xfId="0" applyFont="1" applyFill="1" applyAlignment="1" applyProtection="1">
      <alignment horizontal="left"/>
    </xf>
    <xf numFmtId="0" fontId="5" fillId="3" borderId="0" xfId="0" applyFont="1" applyFill="1"/>
    <xf numFmtId="165" fontId="0" fillId="2" borderId="0" xfId="0" applyNumberFormat="1" applyFill="1" applyAlignment="1" applyProtection="1">
      <alignment horizontal="center"/>
      <protection locked="0"/>
    </xf>
    <xf numFmtId="167" fontId="0" fillId="2" borderId="0" xfId="0" applyNumberFormat="1" applyFill="1" applyAlignment="1" applyProtection="1">
      <alignment horizontal="center"/>
      <protection locked="0"/>
    </xf>
    <xf numFmtId="169" fontId="0" fillId="2" borderId="0" xfId="0" applyNumberFormat="1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2" fillId="3" borderId="1" xfId="0" applyFont="1" applyFill="1" applyBorder="1" applyAlignment="1"/>
    <xf numFmtId="0" fontId="0" fillId="3" borderId="0" xfId="0" applyNumberFormat="1" applyFill="1" applyAlignment="1">
      <alignment horizontal="right"/>
    </xf>
    <xf numFmtId="0" fontId="6" fillId="3" borderId="0" xfId="0" applyFont="1" applyFill="1"/>
    <xf numFmtId="0" fontId="7" fillId="3" borderId="0" xfId="0" applyFont="1" applyFill="1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7"/>
  <colors>
    <mruColors>
      <color rgb="FFFF0000"/>
      <color rgb="FFFF6900"/>
      <color rgb="FFE7FF00"/>
      <color rgb="FF0FFF00"/>
      <color rgb="FF00FFEA"/>
      <color rgb="FF0000FF"/>
      <color rgb="FFC3D69B"/>
      <color rgb="FF5959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2800">
                <a:solidFill>
                  <a:schemeClr val="tx1"/>
                </a:solidFill>
              </a:rPr>
              <a:t>depth / r baffle</a:t>
            </a:r>
          </a:p>
          <a:p>
            <a:pPr>
              <a:defRPr sz="2800">
                <a:solidFill>
                  <a:schemeClr val="tx1"/>
                </a:solidFill>
              </a:defRPr>
            </a:pPr>
            <a:r>
              <a:rPr lang="en-US" sz="1600">
                <a:solidFill>
                  <a:schemeClr val="tx1"/>
                </a:solidFill>
              </a:rPr>
              <a:t>(ref. r driver / r baffle = 0,025)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Ref>
              <c:f>Calc!$B$6:$B$13</c:f>
              <c:numCache>
                <c:formatCode>General</c:formatCode>
                <c:ptCount val="8"/>
                <c:pt idx="0">
                  <c:v>0.125</c:v>
                </c:pt>
                <c:pt idx="1">
                  <c:v>0.25</c:v>
                </c:pt>
                <c:pt idx="2">
                  <c:v>0.5</c:v>
                </c:pt>
                <c:pt idx="3">
                  <c:v>1</c:v>
                </c:pt>
                <c:pt idx="4">
                  <c:v>1.5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</c:numCache>
            </c:numRef>
          </c:xVal>
          <c:yVal>
            <c:numRef>
              <c:f>Calc!$C$6:$C$13</c:f>
              <c:numCache>
                <c:formatCode>0,000</c:formatCode>
                <c:ptCount val="8"/>
                <c:pt idx="0">
                  <c:v>0.67739547667878508</c:v>
                </c:pt>
                <c:pt idx="1">
                  <c:v>0.69100637573955148</c:v>
                </c:pt>
                <c:pt idx="2">
                  <c:v>0.7119901420541741</c:v>
                </c:pt>
                <c:pt idx="3">
                  <c:v>0.73922492909962967</c:v>
                </c:pt>
                <c:pt idx="4">
                  <c:v>0.75612958488044613</c:v>
                </c:pt>
                <c:pt idx="5">
                  <c:v>0.76764448426526632</c:v>
                </c:pt>
                <c:pt idx="6">
                  <c:v>0.7823229748080226</c:v>
                </c:pt>
                <c:pt idx="7">
                  <c:v>0.7912860335812949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F8B-5246-ADAA-94FA1B0558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7086400"/>
        <c:axId val="1078781536"/>
      </c:scatterChart>
      <c:valAx>
        <c:axId val="1207086400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rgbClr val="595959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chemeClr val="tx1"/>
                    </a:solidFill>
                  </a:rPr>
                  <a:t>ratio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8781536"/>
        <c:crosses val="autoZero"/>
        <c:crossBetween val="midCat"/>
        <c:majorUnit val="0.5"/>
        <c:minorUnit val="0.1"/>
      </c:valAx>
      <c:valAx>
        <c:axId val="1078781536"/>
        <c:scaling>
          <c:orientation val="minMax"/>
          <c:max val="0.8"/>
          <c:min val="0.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chemeClr val="tx1"/>
                    </a:solidFill>
                  </a:rPr>
                  <a:t>multiplier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7086400"/>
        <c:crosses val="autoZero"/>
        <c:crossBetween val="midCat"/>
        <c:majorUnit val="0.05"/>
      </c:valAx>
      <c:spPr>
        <a:blipFill dpi="0" rotWithShape="1">
          <a:blip xmlns:r="http://schemas.openxmlformats.org/officeDocument/2006/relationships" r:embed="rId3"/>
          <a:srcRect/>
          <a:tile tx="0" ty="0" sx="100000" sy="100000" flip="none" algn="tl"/>
        </a:blipFill>
        <a:ln>
          <a:noFill/>
        </a:ln>
        <a:effectLst/>
      </c:spPr>
    </c:plotArea>
    <c:plotVisOnly val="1"/>
    <c:dispBlanksAs val="gap"/>
    <c:showDLblsOverMax val="0"/>
  </c:chart>
  <c:spPr>
    <a:solidFill>
      <a:srgbClr val="C3D69B"/>
    </a:solidFill>
    <a:ln w="9525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Calc!$B$36</c:f>
          <c:strCache>
            <c:ptCount val="1"/>
            <c:pt idx="0">
              <c:v>r driver / r baffle = 0,56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Calc!$B$40</c:f>
              <c:strCache>
                <c:ptCount val="1"/>
                <c:pt idx="0">
                  <c:v> 1,77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Calc!$L$4:$L$15</c:f>
              <c:numCache>
                <c:formatCode>General</c:formatCode>
                <c:ptCount val="12"/>
                <c:pt idx="0">
                  <c:v>2.5000000000000001E-2</c:v>
                </c:pt>
                <c:pt idx="1">
                  <c:v>0.05</c:v>
                </c:pt>
                <c:pt idx="2">
                  <c:v>0.1</c:v>
                </c:pt>
                <c:pt idx="3">
                  <c:v>0.2</c:v>
                </c:pt>
                <c:pt idx="4">
                  <c:v>0.3</c:v>
                </c:pt>
                <c:pt idx="5">
                  <c:v>0.5</c:v>
                </c:pt>
                <c:pt idx="6">
                  <c:v>0.625</c:v>
                </c:pt>
                <c:pt idx="7">
                  <c:v>0.75</c:v>
                </c:pt>
                <c:pt idx="8">
                  <c:v>0.85</c:v>
                </c:pt>
                <c:pt idx="9">
                  <c:v>0.9</c:v>
                </c:pt>
                <c:pt idx="10">
                  <c:v>0.95</c:v>
                </c:pt>
                <c:pt idx="11">
                  <c:v>1</c:v>
                </c:pt>
              </c:numCache>
            </c:numRef>
          </c:xVal>
          <c:yVal>
            <c:numRef>
              <c:f>Calc!$N$4:$N$15</c:f>
              <c:numCache>
                <c:formatCode>General</c:formatCode>
                <c:ptCount val="12"/>
                <c:pt idx="0">
                  <c:v>0.76263489382759531</c:v>
                </c:pt>
                <c:pt idx="1">
                  <c:v>0.76237182716747232</c:v>
                </c:pt>
                <c:pt idx="2">
                  <c:v>0.76131731467197827</c:v>
                </c:pt>
                <c:pt idx="3">
                  <c:v>0.75706311567181961</c:v>
                </c:pt>
                <c:pt idx="4">
                  <c:v>0.74984253531645795</c:v>
                </c:pt>
                <c:pt idx="5">
                  <c:v>0.72560185063283567</c:v>
                </c:pt>
                <c:pt idx="6">
                  <c:v>0.70279051387150338</c:v>
                </c:pt>
                <c:pt idx="7">
                  <c:v>0.67285441967291948</c:v>
                </c:pt>
                <c:pt idx="8">
                  <c:v>0.64280344755629815</c:v>
                </c:pt>
                <c:pt idx="9">
                  <c:v>0.62542068716936394</c:v>
                </c:pt>
                <c:pt idx="10">
                  <c:v>0.60627681356389429</c:v>
                </c:pt>
                <c:pt idx="11">
                  <c:v>0.58520714378152228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4C8-1D4D-B9D9-4C3C3C431CBE}"/>
            </c:ext>
          </c:extLst>
        </c:ser>
        <c:ser>
          <c:idx val="0"/>
          <c:order val="1"/>
          <c:tx>
            <c:v>multiplier</c:v>
          </c:tx>
          <c:spPr>
            <a:ln w="19050" cap="rnd">
              <a:noFill/>
              <a:round/>
            </a:ln>
            <a:effectLst/>
          </c:spPr>
          <c:marker>
            <c:symbol val="x"/>
            <c:size val="12"/>
            <c:spPr>
              <a:noFill/>
              <a:ln w="38100">
                <a:solidFill>
                  <a:srgbClr val="00B050"/>
                </a:solidFill>
              </a:ln>
              <a:effectLst/>
            </c:spPr>
          </c:marker>
          <c:xVal>
            <c:numRef>
              <c:f>Dashboard!$D$26</c:f>
              <c:numCache>
                <c:formatCode>0.00</c:formatCode>
                <c:ptCount val="1"/>
                <c:pt idx="0">
                  <c:v>0.56275409766250128</c:v>
                </c:pt>
              </c:numCache>
            </c:numRef>
          </c:xVal>
          <c:yVal>
            <c:numRef>
              <c:f>Dashboard!$D$31</c:f>
              <c:numCache>
                <c:formatCode>0.00</c:formatCode>
                <c:ptCount val="1"/>
                <c:pt idx="0">
                  <c:v>0.71496519107122669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4C8-1D4D-B9D9-4C3C3C431C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9316368"/>
        <c:axId val="1299318800"/>
      </c:scatterChart>
      <c:valAx>
        <c:axId val="1299316368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rgbClr val="595959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chemeClr val="tx1"/>
                    </a:solidFill>
                  </a:rPr>
                  <a:t>ratio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9318800"/>
        <c:crosses val="autoZero"/>
        <c:crossBetween val="midCat"/>
        <c:majorUnit val="0.2"/>
        <c:minorUnit val="0.1"/>
      </c:valAx>
      <c:valAx>
        <c:axId val="1299318800"/>
        <c:scaling>
          <c:orientation val="minMax"/>
          <c:max val="0.9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chemeClr val="tx1"/>
                    </a:solidFill>
                  </a:rPr>
                  <a:t>multiplier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9316368"/>
        <c:crosses val="autoZero"/>
        <c:crossBetween val="midCat"/>
        <c:majorUnit val="0.1"/>
        <c:minorUnit val="0.05"/>
      </c:valAx>
      <c:spPr>
        <a:blipFill>
          <a:blip xmlns:r="http://schemas.openxmlformats.org/officeDocument/2006/relationships" r:embed="rId3"/>
          <a:tile tx="0" ty="0" sx="100000" sy="100000" flip="none" algn="tl"/>
        </a:blipFill>
        <a:ln>
          <a:noFill/>
        </a:ln>
        <a:effectLst/>
      </c:spPr>
    </c:plotArea>
    <c:plotVisOnly val="1"/>
    <c:dispBlanksAs val="gap"/>
    <c:showDLblsOverMax val="0"/>
  </c:chart>
  <c:spPr>
    <a:solidFill>
      <a:srgbClr val="C3D69B"/>
    </a:solidFill>
    <a:ln w="9525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25</xdr:row>
      <xdr:rowOff>0</xdr:rowOff>
    </xdr:from>
    <xdr:to>
      <xdr:col>12</xdr:col>
      <xdr:colOff>0</xdr:colOff>
      <xdr:row>48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</xdr:row>
      <xdr:rowOff>0</xdr:rowOff>
    </xdr:from>
    <xdr:to>
      <xdr:col>12</xdr:col>
      <xdr:colOff>0</xdr:colOff>
      <xdr:row>24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34</xdr:row>
      <xdr:rowOff>0</xdr:rowOff>
    </xdr:from>
    <xdr:to>
      <xdr:col>4</xdr:col>
      <xdr:colOff>0</xdr:colOff>
      <xdr:row>46</xdr:row>
      <xdr:rowOff>88900</xdr:rowOff>
    </xdr:to>
    <xdr:pic>
      <xdr:nvPicPr>
        <xdr:cNvPr id="5" name="Picture 4" descr="logo_fase_ins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0" y="6908800"/>
          <a:ext cx="2527300" cy="2527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48"/>
  <sheetViews>
    <sheetView tabSelected="1" zoomScaleNormal="100" workbookViewId="0">
      <selection activeCell="D4" sqref="D4"/>
    </sheetView>
  </sheetViews>
  <sheetFormatPr baseColWidth="10" defaultRowHeight="16" x14ac:dyDescent="0.2"/>
  <cols>
    <col min="4" max="4" width="11.5" style="14" bestFit="1" customWidth="1"/>
  </cols>
  <sheetData>
    <row r="2" spans="2:4" x14ac:dyDescent="0.2">
      <c r="B2" s="4" t="s">
        <v>11</v>
      </c>
      <c r="C2" s="5"/>
      <c r="D2" s="9"/>
    </row>
    <row r="3" spans="2:4" x14ac:dyDescent="0.2">
      <c r="B3" s="6"/>
      <c r="C3" s="6"/>
      <c r="D3" s="10"/>
    </row>
    <row r="4" spans="2:4" x14ac:dyDescent="0.2">
      <c r="B4" s="8" t="s">
        <v>15</v>
      </c>
      <c r="C4" s="6"/>
      <c r="D4" s="21">
        <v>21</v>
      </c>
    </row>
    <row r="5" spans="2:4" x14ac:dyDescent="0.2">
      <c r="B5" s="6"/>
      <c r="C5" s="6"/>
      <c r="D5" s="10"/>
    </row>
    <row r="6" spans="2:4" x14ac:dyDescent="0.2">
      <c r="B6" s="8" t="s">
        <v>14</v>
      </c>
      <c r="C6" s="6"/>
      <c r="D6" s="15">
        <f>(331.3+(0.606*D4))</f>
        <v>344.02600000000001</v>
      </c>
    </row>
    <row r="9" spans="2:4" x14ac:dyDescent="0.2">
      <c r="B9" s="4" t="s">
        <v>3</v>
      </c>
      <c r="C9" s="7"/>
      <c r="D9" s="11"/>
    </row>
    <row r="10" spans="2:4" x14ac:dyDescent="0.2">
      <c r="B10" s="6"/>
      <c r="C10" s="6"/>
      <c r="D10" s="10"/>
    </row>
    <row r="11" spans="2:4" x14ac:dyDescent="0.2">
      <c r="B11" s="8" t="s">
        <v>18</v>
      </c>
      <c r="C11" s="6"/>
      <c r="D11" s="22">
        <v>600</v>
      </c>
    </row>
    <row r="12" spans="2:4" x14ac:dyDescent="0.2">
      <c r="B12" s="8" t="s">
        <v>7</v>
      </c>
      <c r="C12" s="6"/>
      <c r="D12" s="22">
        <v>600</v>
      </c>
    </row>
    <row r="13" spans="2:4" x14ac:dyDescent="0.2">
      <c r="B13" s="8" t="s">
        <v>8</v>
      </c>
      <c r="C13" s="6"/>
      <c r="D13" s="22">
        <v>600</v>
      </c>
    </row>
    <row r="14" spans="2:4" x14ac:dyDescent="0.2">
      <c r="B14" s="6"/>
      <c r="C14" s="6"/>
      <c r="D14" s="12"/>
    </row>
    <row r="15" spans="2:4" x14ac:dyDescent="0.2">
      <c r="B15" s="8" t="s">
        <v>9</v>
      </c>
      <c r="C15" s="6"/>
      <c r="D15" s="23">
        <v>15</v>
      </c>
    </row>
    <row r="16" spans="2:4" x14ac:dyDescent="0.2">
      <c r="B16" s="6"/>
      <c r="C16" s="6"/>
      <c r="D16" s="12"/>
    </row>
    <row r="17" spans="2:5" x14ac:dyDescent="0.2">
      <c r="B17" s="8" t="s">
        <v>21</v>
      </c>
      <c r="C17" s="6"/>
      <c r="D17" s="24">
        <v>1</v>
      </c>
    </row>
    <row r="18" spans="2:5" x14ac:dyDescent="0.2">
      <c r="B18" s="6"/>
      <c r="C18" s="6"/>
      <c r="D18" s="10"/>
    </row>
    <row r="19" spans="2:5" x14ac:dyDescent="0.2">
      <c r="B19" s="8" t="s">
        <v>26</v>
      </c>
      <c r="C19" s="6"/>
      <c r="D19" s="16">
        <f>SQRT(D17)*D15*25.4/2</f>
        <v>190.5</v>
      </c>
    </row>
    <row r="20" spans="2:5" x14ac:dyDescent="0.2">
      <c r="B20" s="6"/>
      <c r="C20" s="6"/>
      <c r="D20" s="12"/>
    </row>
    <row r="21" spans="2:5" x14ac:dyDescent="0.2">
      <c r="B21" s="8" t="s">
        <v>16</v>
      </c>
      <c r="C21" s="6"/>
      <c r="D21" s="17">
        <f>D11*D12</f>
        <v>360000</v>
      </c>
    </row>
    <row r="22" spans="2:5" x14ac:dyDescent="0.2">
      <c r="B22" s="6"/>
      <c r="C22" s="6"/>
      <c r="D22" s="12"/>
    </row>
    <row r="23" spans="2:5" x14ac:dyDescent="0.2">
      <c r="B23" s="8" t="s">
        <v>4</v>
      </c>
      <c r="C23" s="6"/>
      <c r="D23" s="16">
        <f>SQRT(D21/PI())</f>
        <v>338.51375012865378</v>
      </c>
    </row>
    <row r="25" spans="2:5" x14ac:dyDescent="0.2">
      <c r="B25" s="4" t="s">
        <v>5</v>
      </c>
      <c r="C25" s="7"/>
      <c r="D25" s="11"/>
      <c r="E25" s="3" t="str">
        <f>IF(OR(Dashboard!D26&gt;1,Dashboard!D26&lt;0.025),"out of range","")</f>
        <v/>
      </c>
    </row>
    <row r="26" spans="2:5" x14ac:dyDescent="0.2">
      <c r="B26" s="8" t="s">
        <v>6</v>
      </c>
      <c r="C26" s="6"/>
      <c r="D26" s="13">
        <f>Dashboard!D19/Dashboard!D23</f>
        <v>0.56275409766250128</v>
      </c>
    </row>
    <row r="27" spans="2:5" x14ac:dyDescent="0.2">
      <c r="B27" s="8" t="s">
        <v>10</v>
      </c>
      <c r="C27" s="6"/>
      <c r="D27" s="13">
        <f>Dashboard!D13/Dashboard!D23</f>
        <v>1.7724538509055159</v>
      </c>
      <c r="E27" s="3" t="str">
        <f>IF(OR(Dashboard!D27&gt;4,Dashboard!D27&lt;0.125),"out of range","")</f>
        <v/>
      </c>
    </row>
    <row r="29" spans="2:5" x14ac:dyDescent="0.2">
      <c r="B29" s="4" t="s">
        <v>19</v>
      </c>
      <c r="C29" s="7"/>
      <c r="D29" s="25" t="str">
        <f>Calc!B44</f>
        <v>f &lt; 169 Hz</v>
      </c>
    </row>
    <row r="30" spans="2:5" x14ac:dyDescent="0.2">
      <c r="B30" s="6"/>
      <c r="C30" s="6"/>
      <c r="D30" s="10"/>
    </row>
    <row r="31" spans="2:5" x14ac:dyDescent="0.2">
      <c r="B31" s="8" t="s">
        <v>13</v>
      </c>
      <c r="C31" s="6"/>
      <c r="D31" s="13">
        <f>Calc!F33</f>
        <v>0.71496519107122669</v>
      </c>
    </row>
    <row r="32" spans="2:5" x14ac:dyDescent="0.2">
      <c r="B32" s="6"/>
      <c r="C32" s="6"/>
      <c r="D32" s="10"/>
    </row>
    <row r="33" spans="2:16" x14ac:dyDescent="0.2">
      <c r="B33" s="8" t="s">
        <v>12</v>
      </c>
      <c r="C33" s="6"/>
      <c r="D33" s="26" t="str">
        <f>ROUND(Calc!F33*Dashboard!D23,0)&amp;" mm ± 10%"</f>
        <v>242 mm ± 10%</v>
      </c>
    </row>
    <row r="35" spans="2:16" x14ac:dyDescent="0.2">
      <c r="B35" s="6"/>
      <c r="C35" s="6"/>
      <c r="D35" s="6"/>
    </row>
    <row r="36" spans="2:16" x14ac:dyDescent="0.2">
      <c r="B36" s="6"/>
      <c r="C36" s="6"/>
      <c r="D36" s="6"/>
    </row>
    <row r="37" spans="2:16" x14ac:dyDescent="0.2">
      <c r="B37" s="6"/>
      <c r="C37" s="6"/>
      <c r="D37" s="6"/>
    </row>
    <row r="38" spans="2:16" x14ac:dyDescent="0.2">
      <c r="B38" s="6"/>
      <c r="C38" s="6"/>
      <c r="D38" s="6"/>
    </row>
    <row r="39" spans="2:16" x14ac:dyDescent="0.2">
      <c r="B39" s="6"/>
      <c r="C39" s="6"/>
      <c r="D39" s="6"/>
    </row>
    <row r="40" spans="2:16" x14ac:dyDescent="0.2">
      <c r="B40" s="6"/>
      <c r="C40" s="6"/>
      <c r="D40" s="6"/>
    </row>
    <row r="41" spans="2:16" x14ac:dyDescent="0.2">
      <c r="B41" s="6"/>
      <c r="C41" s="6"/>
      <c r="D41" s="6"/>
    </row>
    <row r="42" spans="2:16" x14ac:dyDescent="0.2">
      <c r="B42" s="6"/>
      <c r="C42" s="6"/>
      <c r="D42" s="6"/>
    </row>
    <row r="43" spans="2:16" x14ac:dyDescent="0.2">
      <c r="B43" s="6"/>
      <c r="C43" s="6"/>
      <c r="D43" s="6"/>
    </row>
    <row r="44" spans="2:16" x14ac:dyDescent="0.2">
      <c r="B44" s="6"/>
      <c r="C44" s="6"/>
      <c r="D44" s="6"/>
      <c r="N44" s="4" t="s">
        <v>22</v>
      </c>
      <c r="O44" s="7"/>
      <c r="P44" s="7"/>
    </row>
    <row r="45" spans="2:16" x14ac:dyDescent="0.2">
      <c r="B45" s="6"/>
      <c r="C45" s="6"/>
      <c r="D45" s="6"/>
      <c r="N45" s="6"/>
      <c r="O45" s="6"/>
      <c r="P45" s="6"/>
    </row>
    <row r="46" spans="2:16" x14ac:dyDescent="0.2">
      <c r="B46" s="6"/>
      <c r="C46" s="6"/>
      <c r="D46" s="6"/>
      <c r="N46" s="27" t="s">
        <v>23</v>
      </c>
      <c r="O46" s="6"/>
      <c r="P46" s="6"/>
    </row>
    <row r="47" spans="2:16" x14ac:dyDescent="0.2">
      <c r="B47" s="19" t="s">
        <v>20</v>
      </c>
      <c r="C47" s="6"/>
      <c r="D47" s="6"/>
      <c r="N47" s="6"/>
      <c r="O47" s="6"/>
      <c r="P47" s="6"/>
    </row>
    <row r="48" spans="2:16" x14ac:dyDescent="0.2">
      <c r="B48" s="20" t="s">
        <v>17</v>
      </c>
      <c r="C48" s="6"/>
      <c r="D48" s="6"/>
      <c r="N48" s="28" t="s">
        <v>24</v>
      </c>
      <c r="O48" s="20" t="s">
        <v>25</v>
      </c>
      <c r="P48" s="6"/>
    </row>
  </sheetData>
  <sheetProtection algorithmName="SHA-512" hashValue="ZmD2o/lD+/R38wWcUEljzLV7Xs8opPodplmn87RVG9ZwvHfQpcI7+bvYyulCfvNl1kxpYJ+mSHSdQeLpoxor9w==" saltValue="ZYWySDEXxuA7c2rDGZ9PZw==" spinCount="100000" sheet="1" objects="1" scenarios="1" selectLockedCells="1"/>
  <pageMargins left="0.7" right="0.7" top="0.75" bottom="0.75" header="0.3" footer="0.3"/>
  <pageSetup paperSize="9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F44"/>
  <sheetViews>
    <sheetView workbookViewId="0"/>
  </sheetViews>
  <sheetFormatPr baseColWidth="10" defaultRowHeight="16" x14ac:dyDescent="0.2"/>
  <cols>
    <col min="3" max="3" width="12.1640625" bestFit="1" customWidth="1"/>
  </cols>
  <sheetData>
    <row r="2" spans="2:58" x14ac:dyDescent="0.2">
      <c r="L2" t="s">
        <v>2</v>
      </c>
      <c r="M2" t="s">
        <v>1</v>
      </c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</row>
    <row r="3" spans="2:58" x14ac:dyDescent="0.2">
      <c r="B3" t="s">
        <v>0</v>
      </c>
    </row>
    <row r="4" spans="2:58" x14ac:dyDescent="0.2">
      <c r="L4">
        <f>0.1/4</f>
        <v>2.5000000000000001E-2</v>
      </c>
      <c r="M4" s="1">
        <f t="shared" ref="M4:M15" si="0">-0.308316614*EXP(1)^(0.454735669*L4^2)+1.064273767</f>
        <v>0.75586951394556912</v>
      </c>
      <c r="N4">
        <f>M4+((-1.904344352*10^-1/(Dashboard!$D$27 + 1.136441527)+8.283612021*10^-1)-0.756129584880446)</f>
        <v>0.76263489382759531</v>
      </c>
    </row>
    <row r="5" spans="2:58" x14ac:dyDescent="0.2">
      <c r="L5">
        <f>0.1/2</f>
        <v>0.05</v>
      </c>
      <c r="M5" s="1">
        <f t="shared" si="0"/>
        <v>0.75560644728544613</v>
      </c>
      <c r="N5">
        <f>M5+((-1.904344352*10^-1/(Dashboard!$D$27 + 1.136441527)+8.283612021*10^-1)-0.756129584880446)</f>
        <v>0.76237182716747232</v>
      </c>
    </row>
    <row r="6" spans="2:58" x14ac:dyDescent="0.2">
      <c r="B6">
        <v>0.125</v>
      </c>
      <c r="C6" s="1">
        <f t="shared" ref="C6:C13" si="1">-1.904344352*10^-1/(B6 + 1.136441527)+8.283612021*10^-1</f>
        <v>0.67739547667878508</v>
      </c>
      <c r="L6">
        <f>0.1</f>
        <v>0.1</v>
      </c>
      <c r="M6" s="1">
        <f t="shared" si="0"/>
        <v>0.75455193478995208</v>
      </c>
      <c r="N6">
        <f>M6+((-1.904344352*10^-1/(Dashboard!$D$27 + 1.136441527)+8.283612021*10^-1)-0.756129584880446)</f>
        <v>0.76131731467197827</v>
      </c>
    </row>
    <row r="7" spans="2:58" x14ac:dyDescent="0.2">
      <c r="B7">
        <v>0.25</v>
      </c>
      <c r="C7" s="1">
        <f t="shared" si="1"/>
        <v>0.69100637573955148</v>
      </c>
      <c r="L7">
        <v>0.2</v>
      </c>
      <c r="M7" s="1">
        <f t="shared" si="0"/>
        <v>0.75029773578979342</v>
      </c>
      <c r="N7">
        <f>M7+((-1.904344352*10^-1/(Dashboard!$D$27 + 1.136441527)+8.283612021*10^-1)-0.756129584880446)</f>
        <v>0.75706311567181961</v>
      </c>
    </row>
    <row r="8" spans="2:58" x14ac:dyDescent="0.2">
      <c r="B8">
        <v>0.5</v>
      </c>
      <c r="C8" s="1">
        <f t="shared" si="1"/>
        <v>0.7119901420541741</v>
      </c>
      <c r="L8">
        <v>0.3</v>
      </c>
      <c r="M8" s="1">
        <f t="shared" si="0"/>
        <v>0.74307715543443176</v>
      </c>
      <c r="N8">
        <f>M8+((-1.904344352*10^-1/(Dashboard!$D$27 + 1.136441527)+8.283612021*10^-1)-0.756129584880446)</f>
        <v>0.74984253531645795</v>
      </c>
    </row>
    <row r="9" spans="2:58" x14ac:dyDescent="0.2">
      <c r="B9">
        <v>1</v>
      </c>
      <c r="C9" s="1">
        <f t="shared" si="1"/>
        <v>0.73922492909962967</v>
      </c>
      <c r="L9">
        <v>0.5</v>
      </c>
      <c r="M9" s="1">
        <f t="shared" si="0"/>
        <v>0.71883647075080948</v>
      </c>
      <c r="N9">
        <f>M9+((-1.904344352*10^-1/(Dashboard!$D$27 + 1.136441527)+8.283612021*10^-1)-0.756129584880446)</f>
        <v>0.72560185063283567</v>
      </c>
    </row>
    <row r="10" spans="2:58" x14ac:dyDescent="0.2">
      <c r="B10">
        <v>1.5</v>
      </c>
      <c r="C10" s="1">
        <f t="shared" si="1"/>
        <v>0.75612958488044613</v>
      </c>
      <c r="L10">
        <v>0.625</v>
      </c>
      <c r="M10" s="1">
        <f t="shared" si="0"/>
        <v>0.69602513398947718</v>
      </c>
      <c r="N10">
        <f>M10+((-1.904344352*10^-1/(Dashboard!$D$27 + 1.136441527)+8.283612021*10^-1)-0.756129584880446)</f>
        <v>0.70279051387150338</v>
      </c>
    </row>
    <row r="11" spans="2:58" x14ac:dyDescent="0.2">
      <c r="B11">
        <v>2</v>
      </c>
      <c r="C11" s="1">
        <f t="shared" si="1"/>
        <v>0.76764448426526632</v>
      </c>
      <c r="L11">
        <v>0.75</v>
      </c>
      <c r="M11" s="1">
        <f t="shared" si="0"/>
        <v>0.66608903979089329</v>
      </c>
      <c r="N11">
        <f>M11+((-1.904344352*10^-1/(Dashboard!$D$27 + 1.136441527)+8.283612021*10^-1)-0.756129584880446)</f>
        <v>0.67285441967291948</v>
      </c>
    </row>
    <row r="12" spans="2:58" x14ac:dyDescent="0.2">
      <c r="B12">
        <v>3</v>
      </c>
      <c r="C12" s="1">
        <f t="shared" si="1"/>
        <v>0.7823229748080226</v>
      </c>
      <c r="L12">
        <v>0.85</v>
      </c>
      <c r="M12" s="1">
        <f t="shared" si="0"/>
        <v>0.63603806767427196</v>
      </c>
      <c r="N12">
        <f>M12+((-1.904344352*10^-1/(Dashboard!$D$27 + 1.136441527)+8.283612021*10^-1)-0.756129584880446)</f>
        <v>0.64280344755629815</v>
      </c>
    </row>
    <row r="13" spans="2:58" x14ac:dyDescent="0.2">
      <c r="B13">
        <v>4</v>
      </c>
      <c r="C13" s="1">
        <f t="shared" si="1"/>
        <v>0.7912860335812949</v>
      </c>
      <c r="L13">
        <v>0.9</v>
      </c>
      <c r="M13" s="1">
        <f t="shared" si="0"/>
        <v>0.61865530728733775</v>
      </c>
      <c r="N13">
        <f>M13+((-1.904344352*10^-1/(Dashboard!$D$27 + 1.136441527)+8.283612021*10^-1)-0.756129584880446)</f>
        <v>0.62542068716936394</v>
      </c>
    </row>
    <row r="14" spans="2:58" x14ac:dyDescent="0.2">
      <c r="L14">
        <v>0.95</v>
      </c>
      <c r="M14" s="1">
        <f t="shared" si="0"/>
        <v>0.5995114336818681</v>
      </c>
      <c r="N14">
        <f>M14+((-1.904344352*10^-1/(Dashboard!$D$27 + 1.136441527)+8.283612021*10^-1)-0.756129584880446)</f>
        <v>0.60627681356389429</v>
      </c>
    </row>
    <row r="15" spans="2:58" x14ac:dyDescent="0.2">
      <c r="L15">
        <v>1</v>
      </c>
      <c r="M15" s="1">
        <f t="shared" si="0"/>
        <v>0.57844176389949609</v>
      </c>
      <c r="N15">
        <f>M15+((-1.904344352*10^-1/(Dashboard!$D$27 + 1.136441527)+8.283612021*10^-1)-0.756129584880446)</f>
        <v>0.58520714378152228</v>
      </c>
    </row>
    <row r="19" spans="10:10" x14ac:dyDescent="0.2">
      <c r="J19" s="18"/>
    </row>
    <row r="33" spans="2:6" x14ac:dyDescent="0.2">
      <c r="B33" t="s">
        <v>2</v>
      </c>
      <c r="E33" s="1">
        <f>-0.308316614*EXP(1)^(0.454735669*Dashboard!D26^2)+1.064273767</f>
        <v>0.7081998111892005</v>
      </c>
      <c r="F33">
        <f>E33+((-1.904344352*10^-1/(Dashboard!$D$27 + 1.136441527)+8.283612021*10^-1)-0.756129584880446)</f>
        <v>0.71496519107122669</v>
      </c>
    </row>
    <row r="35" spans="2:6" x14ac:dyDescent="0.2">
      <c r="E35" s="1">
        <f>-0.308316614*EXP(1)^(0.454735669*Dashboard!P33^2)+1.064273767</f>
        <v>0.75595715299999999</v>
      </c>
      <c r="F35">
        <f>E35+((-1.904344352*10^-1/(Dashboard!P35 + 1.136441527)+8.283612021*10^-1)-0.756129584880446)</f>
        <v>0.66061795317742023</v>
      </c>
    </row>
    <row r="36" spans="2:6" x14ac:dyDescent="0.2">
      <c r="B36" t="str">
        <f>"r driver / r baffle = "&amp;ROUND(Dashboard!D26,2)</f>
        <v>r driver / r baffle = 0,56</v>
      </c>
      <c r="E36" s="1">
        <f>-0.308316614*EXP(1)^(0.454735669*Dashboard!Q33^2)+1.064273767</f>
        <v>0.75595715299999999</v>
      </c>
      <c r="F36">
        <f>E36+((-1.904344352*10^-1/(Dashboard!Q35 + 1.136441527)+8.283612021*10^-1)-0.756129584880446)</f>
        <v>0.66061795317742023</v>
      </c>
    </row>
    <row r="38" spans="2:6" x14ac:dyDescent="0.2">
      <c r="B38" t="str">
        <f>"depth / r baffle = "&amp;ROUND(Dashboard!D27,2)</f>
        <v>depth / r baffle = 1,77</v>
      </c>
    </row>
    <row r="40" spans="2:6" x14ac:dyDescent="0.2">
      <c r="B40" s="2" t="str">
        <f>" "&amp;ROUND(Dashboard!D27,2)</f>
        <v xml:space="preserve"> 1,77</v>
      </c>
    </row>
    <row r="42" spans="2:6" x14ac:dyDescent="0.2">
      <c r="B42">
        <f>6*Dashboard!D23/1000</f>
        <v>2.0310825007719226</v>
      </c>
    </row>
    <row r="44" spans="2:6" x14ac:dyDescent="0.2">
      <c r="B44" t="str">
        <f>"f &lt; "&amp;ROUND(Dashboard!D6/B42,0)&amp;" Hz"</f>
        <v>f &lt; 169 Hz</v>
      </c>
    </row>
  </sheetData>
  <sheetProtection algorithmName="SHA-512" hashValue="HTwi3D5EERXq3G3LqA7jd5JfTTVg1c2xexB2C0rQoiGUnJZWqYvzApqU40WKYYy+n/EGlJevvOOVC46AybkQ8g==" saltValue="3J3coY30ldPyaGIm7IQuLg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Dashboard</vt:lpstr>
      <vt:lpstr>Calc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LFACC</dc:title>
  <dc:subject/>
  <dc:creator>Merlijn van Veen</dc:creator>
  <cp:keywords/>
  <dc:description>V180903</dc:description>
  <cp:lastModifiedBy>Merlijn van Veen</cp:lastModifiedBy>
  <dcterms:created xsi:type="dcterms:W3CDTF">2016-10-05T13:10:26Z</dcterms:created>
  <dcterms:modified xsi:type="dcterms:W3CDTF">2018-09-03T19:11:16Z</dcterms:modified>
  <cp:category/>
</cp:coreProperties>
</file>